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_CCOO\SIRENHA\Tablas Salariales\"/>
    </mc:Choice>
  </mc:AlternateContent>
  <bookViews>
    <workbookView xWindow="0" yWindow="0" windowWidth="18915" windowHeight="8190"/>
  </bookViews>
  <sheets>
    <sheet name="Calculo 2020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2" l="1"/>
  <c r="F16" i="2"/>
  <c r="E16" i="2"/>
  <c r="G17" i="2" l="1"/>
  <c r="G32" i="2"/>
  <c r="G31" i="2"/>
  <c r="K33" i="2" l="1"/>
  <c r="K18" i="2"/>
  <c r="K17" i="2"/>
  <c r="K32" i="2"/>
  <c r="H7" i="2"/>
  <c r="H4" i="2"/>
  <c r="H5" i="2"/>
  <c r="H6" i="2"/>
  <c r="H3" i="2"/>
  <c r="D15" i="2" l="1"/>
  <c r="D16" i="2"/>
  <c r="D17" i="2"/>
  <c r="E17" i="2"/>
  <c r="F17" i="2"/>
  <c r="E18" i="2"/>
  <c r="F19" i="2"/>
  <c r="G20" i="2"/>
  <c r="D21" i="2"/>
  <c r="E21" i="2"/>
  <c r="F21" i="2"/>
  <c r="C11" i="2"/>
  <c r="C12" i="2" s="1"/>
  <c r="G15" i="2" l="1"/>
  <c r="K15" i="2"/>
  <c r="K16" i="2"/>
  <c r="E15" i="2"/>
  <c r="F15" i="2"/>
  <c r="C35" i="2" l="1"/>
  <c r="G35" i="2" s="1"/>
  <c r="H35" i="2" s="1"/>
  <c r="C34" i="2"/>
  <c r="F34" i="2" s="1"/>
  <c r="H34" i="2" s="1"/>
  <c r="H20" i="2" l="1"/>
  <c r="H19" i="2"/>
  <c r="D36" i="2"/>
  <c r="C33" i="2" l="1"/>
  <c r="E33" i="2" s="1"/>
  <c r="C32" i="2"/>
  <c r="D32" i="2" s="1"/>
  <c r="C31" i="2"/>
  <c r="C30" i="2"/>
  <c r="G30" i="2" s="1"/>
  <c r="D31" i="2" l="1"/>
  <c r="K31" i="2"/>
  <c r="D30" i="2"/>
  <c r="K30" i="2"/>
  <c r="F36" i="2"/>
  <c r="F32" i="2"/>
  <c r="F31" i="2"/>
  <c r="F30" i="2"/>
  <c r="E36" i="2"/>
  <c r="E32" i="2"/>
  <c r="E31" i="2"/>
  <c r="E30" i="2"/>
  <c r="K37" i="2" l="1"/>
  <c r="E37" i="2" s="1"/>
  <c r="F38" i="2"/>
  <c r="H36" i="2"/>
  <c r="H33" i="2"/>
  <c r="H32" i="2"/>
  <c r="H31" i="2"/>
  <c r="G38" i="2"/>
  <c r="H30" i="2"/>
  <c r="E38" i="2"/>
  <c r="H21" i="2"/>
  <c r="H15" i="2" l="1"/>
  <c r="H16" i="2"/>
  <c r="H17" i="2"/>
  <c r="E23" i="2"/>
  <c r="F23" i="2"/>
  <c r="H18" i="2"/>
  <c r="G23" i="2"/>
  <c r="K22" i="2" l="1"/>
  <c r="E22" i="2" l="1"/>
  <c r="H22" i="2" s="1"/>
  <c r="H23" i="2" s="1"/>
  <c r="H37" i="2"/>
  <c r="H38" i="2" s="1"/>
  <c r="I25" i="2" l="1"/>
</calcChain>
</file>

<file path=xl/sharedStrings.xml><?xml version="1.0" encoding="utf-8"?>
<sst xmlns="http://schemas.openxmlformats.org/spreadsheetml/2006/main" count="62" uniqueCount="40">
  <si>
    <t>Nivel Competencial</t>
  </si>
  <si>
    <t>Salario General</t>
  </si>
  <si>
    <t>Salario Cualificación</t>
  </si>
  <si>
    <t>1er año</t>
  </si>
  <si>
    <t>2º año</t>
  </si>
  <si>
    <t>I</t>
  </si>
  <si>
    <t>II</t>
  </si>
  <si>
    <t>III</t>
  </si>
  <si>
    <t>IV</t>
  </si>
  <si>
    <t>SIR 1</t>
  </si>
  <si>
    <t>Paga de Eficiencia</t>
  </si>
  <si>
    <t>PAGA EFICIENCIA</t>
  </si>
  <si>
    <t>(Pendiente de consolidación)</t>
  </si>
  <si>
    <t>NOMINA</t>
  </si>
  <si>
    <t>2017-2019</t>
  </si>
  <si>
    <t xml:space="preserve">NOMINA </t>
  </si>
  <si>
    <t>ATRASOS</t>
  </si>
  <si>
    <t>ENE 20</t>
  </si>
  <si>
    <t>TOTAL</t>
  </si>
  <si>
    <t>Lo que has dejado de cobrar:</t>
  </si>
  <si>
    <r>
      <rPr>
        <b/>
        <sz val="11"/>
        <color rgb="FFFF0000"/>
        <rFont val="Calibri"/>
        <family val="2"/>
        <scheme val="minor"/>
      </rPr>
      <t>Tablas y atrasos</t>
    </r>
    <r>
      <rPr>
        <b/>
        <sz val="11"/>
        <color theme="1"/>
        <rFont val="Calibri"/>
        <family val="2"/>
        <scheme val="minor"/>
      </rPr>
      <t xml:space="preserve"> aplicando la subida media de los salarios en 2018 (2,08%), 2019 (2,31%) y prevista en 2020 (2%):</t>
    </r>
  </si>
  <si>
    <t>OTROS CONCEPTOS ANUALES 2018</t>
  </si>
  <si>
    <t>OTROS CONCEPTOS ANUALES 2019</t>
  </si>
  <si>
    <t>OTROS CONCEPTOS ENERO 2020</t>
  </si>
  <si>
    <t>Nota: Solo tenido en cuento 2018, el 2019 todavía no se dispone del dato</t>
  </si>
  <si>
    <t>Incremento EBITDA Art. 8.2 V Convenio (0,5%) 2018 único pago NO CONSOLIDA</t>
  </si>
  <si>
    <t>2018 Total</t>
  </si>
  <si>
    <t>Tablas 2.020</t>
  </si>
  <si>
    <t xml:space="preserve">Cálculo de Atrasos </t>
  </si>
  <si>
    <t>Cumplimentar campos en color rojo y fondo blanco</t>
  </si>
  <si>
    <t>Consolida los 270€ Paga Eficiencia 2.018, motivado</t>
  </si>
  <si>
    <t>por el EBITDA Art. 8.2 V Convenio (0,5%)</t>
  </si>
  <si>
    <t>Para el 2.019 no disponemos de datos aún.</t>
  </si>
  <si>
    <t>Nota: Los conceptos NO devengados a la fecha no están incorporados. Solo Salario.</t>
  </si>
  <si>
    <t xml:space="preserve">Atrasos aplicando la subida del V Convenio: </t>
  </si>
  <si>
    <t>% anual</t>
  </si>
  <si>
    <t>Salario Base (14 PAGAS)</t>
  </si>
  <si>
    <t>SIR 1 (14 PAGAS)</t>
  </si>
  <si>
    <t>Modificar campos en rojo (Celdas C15 a C20)</t>
  </si>
  <si>
    <t>OTROS CONCEPTOS MENSUALES (12 PAGAS)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</si>
</sst>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231F20"/>
      <name val="Calibri"/>
      <family val="2"/>
    </font>
    <font>
      <b/>
      <sz val="10"/>
      <color rgb="FF3A3F77"/>
      <name val="Calibri"/>
      <family val="2"/>
    </font>
    <font>
      <sz val="10"/>
      <color rgb="FF231F20"/>
      <name val="Calibri"/>
      <family val="2"/>
    </font>
    <font>
      <b/>
      <sz val="10"/>
      <color rgb="FFFF0000"/>
      <name val="Calibri"/>
      <family val="2"/>
    </font>
    <font>
      <b/>
      <sz val="10"/>
      <color rgb="FFC00000"/>
      <name val="Calibri"/>
      <family val="2"/>
    </font>
    <font>
      <b/>
      <sz val="10"/>
      <color theme="0"/>
      <name val="Calibri"/>
      <family val="2"/>
    </font>
    <font>
      <b/>
      <sz val="10"/>
      <color theme="9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0"/>
      <color theme="7" tint="-0.499984740745262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theme="0"/>
      <name val="Calibri"/>
      <family val="2"/>
    </font>
    <font>
      <b/>
      <sz val="2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20"/>
      <color theme="1"/>
      <name val="Ebrima"/>
    </font>
    <font>
      <b/>
      <sz val="10"/>
      <color rgb="FFFF0000"/>
      <name val="Ebrima"/>
    </font>
    <font>
      <sz val="10"/>
      <color theme="1"/>
      <name val="Calibri"/>
      <family val="2"/>
      <scheme val="minor"/>
    </font>
    <font>
      <sz val="10"/>
      <color theme="1"/>
      <name val="Ebrima"/>
    </font>
    <font>
      <b/>
      <sz val="10"/>
      <color theme="5" tint="-0.249977111117893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8"/>
      <color rgb="FF000000"/>
      <name val="Segoe UI"/>
      <family val="2"/>
    </font>
    <font>
      <sz val="11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Ebrima"/>
    </font>
  </fonts>
  <fills count="17">
    <fill>
      <patternFill patternType="none"/>
    </fill>
    <fill>
      <patternFill patternType="gray125"/>
    </fill>
    <fill>
      <patternFill patternType="solid">
        <fgColor rgb="FFD4EFFC"/>
        <bgColor indexed="64"/>
      </patternFill>
    </fill>
    <fill>
      <patternFill patternType="solid">
        <fgColor rgb="FFD5DFF0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8A6A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E7B5DA"/>
        <bgColor indexed="64"/>
      </patternFill>
    </fill>
    <fill>
      <patternFill patternType="solid">
        <fgColor rgb="FFDC8EC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rgb="FF231F20"/>
      </left>
      <right style="medium">
        <color rgb="FF231F20"/>
      </right>
      <top style="medium">
        <color rgb="FF231F20"/>
      </top>
      <bottom style="medium">
        <color rgb="FF231F20"/>
      </bottom>
      <diagonal/>
    </border>
    <border>
      <left style="medium">
        <color rgb="FF231F20"/>
      </left>
      <right style="medium">
        <color rgb="FF231F20"/>
      </right>
      <top style="medium">
        <color rgb="FF231F20"/>
      </top>
      <bottom/>
      <diagonal/>
    </border>
    <border>
      <left style="medium">
        <color rgb="FF231F20"/>
      </left>
      <right style="medium">
        <color rgb="FF231F20"/>
      </right>
      <top/>
      <bottom style="medium">
        <color rgb="FF231F20"/>
      </bottom>
      <diagonal/>
    </border>
    <border>
      <left/>
      <right style="medium">
        <color rgb="FF231F20"/>
      </right>
      <top style="medium">
        <color rgb="FF231F20"/>
      </top>
      <bottom style="medium">
        <color rgb="FF231F20"/>
      </bottom>
      <diagonal/>
    </border>
    <border>
      <left/>
      <right style="medium">
        <color rgb="FF231F20"/>
      </right>
      <top/>
      <bottom style="medium">
        <color rgb="FF231F2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231F2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231F20"/>
      </left>
      <right style="thin">
        <color rgb="FF231F20"/>
      </right>
      <top style="thin">
        <color rgb="FF231F20"/>
      </top>
      <bottom/>
      <diagonal/>
    </border>
    <border>
      <left style="medium">
        <color rgb="FF231F20"/>
      </left>
      <right style="medium">
        <color auto="1"/>
      </right>
      <top style="medium">
        <color auto="1"/>
      </top>
      <bottom/>
      <diagonal/>
    </border>
    <border>
      <left style="medium">
        <color rgb="FF231F20"/>
      </left>
      <right style="medium">
        <color rgb="FF231F20"/>
      </right>
      <top/>
      <bottom/>
      <diagonal/>
    </border>
    <border>
      <left/>
      <right style="thin">
        <color rgb="FF231F20"/>
      </right>
      <top style="thin">
        <color rgb="FF231F20"/>
      </top>
      <bottom/>
      <diagonal/>
    </border>
    <border>
      <left style="thin">
        <color rgb="FF231F20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231F20"/>
      </left>
      <right style="thin">
        <color rgb="FF231F20"/>
      </right>
      <top style="medium">
        <color indexed="64"/>
      </top>
      <bottom style="medium">
        <color indexed="64"/>
      </bottom>
      <diagonal/>
    </border>
    <border>
      <left style="thin">
        <color rgb="FF231F20"/>
      </left>
      <right/>
      <top style="thin">
        <color rgb="FF231F2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9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2" fontId="7" fillId="4" borderId="1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2" fontId="3" fillId="3" borderId="8" xfId="0" applyNumberFormat="1" applyFont="1" applyFill="1" applyBorder="1" applyAlignment="1">
      <alignment horizontal="right" vertical="center" wrapText="1"/>
    </xf>
    <xf numFmtId="2" fontId="9" fillId="7" borderId="7" xfId="0" applyNumberFormat="1" applyFont="1" applyFill="1" applyBorder="1" applyAlignment="1">
      <alignment horizontal="right"/>
    </xf>
    <xf numFmtId="2" fontId="1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2" fontId="11" fillId="11" borderId="6" xfId="0" applyNumberFormat="1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  <xf numFmtId="2" fontId="14" fillId="12" borderId="6" xfId="0" applyNumberFormat="1" applyFont="1" applyFill="1" applyBorder="1" applyAlignment="1">
      <alignment horizontal="right"/>
    </xf>
    <xf numFmtId="0" fontId="16" fillId="0" borderId="0" xfId="0" applyFont="1" applyAlignment="1">
      <alignment horizontal="center"/>
    </xf>
    <xf numFmtId="2" fontId="16" fillId="6" borderId="6" xfId="0" applyNumberFormat="1" applyFont="1" applyFill="1" applyBorder="1" applyAlignment="1">
      <alignment horizontal="right"/>
    </xf>
    <xf numFmtId="0" fontId="1" fillId="0" borderId="0" xfId="0" applyFont="1"/>
    <xf numFmtId="0" fontId="19" fillId="0" borderId="0" xfId="0" applyFont="1"/>
    <xf numFmtId="0" fontId="20" fillId="0" borderId="0" xfId="0" applyFont="1"/>
    <xf numFmtId="2" fontId="10" fillId="0" borderId="7" xfId="0" applyNumberFormat="1" applyFont="1" applyBorder="1" applyAlignment="1">
      <alignment horizontal="right"/>
    </xf>
    <xf numFmtId="2" fontId="9" fillId="0" borderId="0" xfId="0" applyNumberFormat="1" applyFont="1" applyFill="1" applyBorder="1" applyAlignment="1">
      <alignment horizontal="right"/>
    </xf>
    <xf numFmtId="0" fontId="25" fillId="0" borderId="0" xfId="0" applyFont="1"/>
    <xf numFmtId="4" fontId="26" fillId="0" borderId="0" xfId="0" applyNumberFormat="1" applyFont="1" applyFill="1" applyBorder="1" applyAlignment="1">
      <alignment horizontal="right"/>
    </xf>
    <xf numFmtId="4" fontId="3" fillId="3" borderId="8" xfId="0" applyNumberFormat="1" applyFont="1" applyFill="1" applyBorder="1" applyAlignment="1">
      <alignment horizontal="right" vertical="center" wrapText="1"/>
    </xf>
    <xf numFmtId="4" fontId="16" fillId="6" borderId="6" xfId="0" applyNumberFormat="1" applyFont="1" applyFill="1" applyBorder="1" applyAlignment="1">
      <alignment horizontal="right"/>
    </xf>
    <xf numFmtId="4" fontId="11" fillId="11" borderId="6" xfId="0" applyNumberFormat="1" applyFont="1" applyFill="1" applyBorder="1" applyAlignment="1">
      <alignment horizontal="right"/>
    </xf>
    <xf numFmtId="4" fontId="14" fillId="12" borderId="6" xfId="0" applyNumberFormat="1" applyFont="1" applyFill="1" applyBorder="1" applyAlignment="1">
      <alignment horizontal="right"/>
    </xf>
    <xf numFmtId="4" fontId="9" fillId="7" borderId="7" xfId="0" applyNumberFormat="1" applyFont="1" applyFill="1" applyBorder="1" applyAlignment="1">
      <alignment horizontal="right"/>
    </xf>
    <xf numFmtId="4" fontId="0" fillId="0" borderId="0" xfId="0" applyNumberFormat="1"/>
    <xf numFmtId="4" fontId="9" fillId="7" borderId="11" xfId="0" applyNumberFormat="1" applyFont="1" applyFill="1" applyBorder="1" applyAlignment="1">
      <alignment horizontal="right"/>
    </xf>
    <xf numFmtId="4" fontId="9" fillId="7" borderId="9" xfId="0" applyNumberFormat="1" applyFont="1" applyFill="1" applyBorder="1" applyAlignment="1">
      <alignment horizontal="right"/>
    </xf>
    <xf numFmtId="4" fontId="1" fillId="0" borderId="0" xfId="0" applyNumberFormat="1" applyFont="1" applyAlignment="1">
      <alignment horizontal="right"/>
    </xf>
    <xf numFmtId="4" fontId="20" fillId="8" borderId="7" xfId="0" applyNumberFormat="1" applyFont="1" applyFill="1" applyBorder="1" applyAlignment="1">
      <alignment horizontal="right"/>
    </xf>
    <xf numFmtId="4" fontId="8" fillId="5" borderId="1" xfId="0" applyNumberFormat="1" applyFont="1" applyFill="1" applyBorder="1" applyAlignment="1">
      <alignment horizontal="center"/>
    </xf>
    <xf numFmtId="4" fontId="20" fillId="0" borderId="10" xfId="0" applyNumberFormat="1" applyFont="1" applyBorder="1" applyAlignment="1" applyProtection="1">
      <alignment horizontal="right"/>
      <protection locked="0"/>
    </xf>
    <xf numFmtId="0" fontId="30" fillId="0" borderId="0" xfId="0" applyFont="1"/>
    <xf numFmtId="0" fontId="29" fillId="0" borderId="0" xfId="0" applyFont="1"/>
    <xf numFmtId="0" fontId="24" fillId="0" borderId="0" xfId="0" applyFont="1"/>
    <xf numFmtId="4" fontId="24" fillId="0" borderId="0" xfId="0" applyNumberFormat="1" applyFont="1"/>
    <xf numFmtId="0" fontId="9" fillId="0" borderId="0" xfId="0" applyFont="1"/>
    <xf numFmtId="4" fontId="16" fillId="6" borderId="16" xfId="0" applyNumberFormat="1" applyFont="1" applyFill="1" applyBorder="1" applyAlignment="1">
      <alignment horizontal="right"/>
    </xf>
    <xf numFmtId="4" fontId="9" fillId="7" borderId="17" xfId="0" applyNumberFormat="1" applyFont="1" applyFill="1" applyBorder="1" applyAlignment="1">
      <alignment horizontal="right"/>
    </xf>
    <xf numFmtId="4" fontId="9" fillId="0" borderId="0" xfId="0" applyNumberFormat="1" applyFont="1"/>
    <xf numFmtId="0" fontId="32" fillId="16" borderId="0" xfId="0" applyFont="1" applyFill="1" applyProtection="1">
      <protection locked="0"/>
    </xf>
    <xf numFmtId="0" fontId="34" fillId="0" borderId="0" xfId="0" applyFont="1"/>
    <xf numFmtId="4" fontId="21" fillId="4" borderId="18" xfId="0" applyNumberFormat="1" applyFont="1" applyFill="1" applyBorder="1" applyAlignment="1">
      <alignment horizontal="right" vertical="center" wrapText="1"/>
    </xf>
    <xf numFmtId="4" fontId="8" fillId="5" borderId="19" xfId="0" applyNumberFormat="1" applyFont="1" applyFill="1" applyBorder="1" applyAlignment="1">
      <alignment horizontal="right"/>
    </xf>
    <xf numFmtId="4" fontId="11" fillId="11" borderId="16" xfId="0" applyNumberFormat="1" applyFont="1" applyFill="1" applyBorder="1" applyAlignment="1">
      <alignment horizontal="right"/>
    </xf>
    <xf numFmtId="4" fontId="14" fillId="12" borderId="20" xfId="0" applyNumberFormat="1" applyFont="1" applyFill="1" applyBorder="1" applyAlignment="1">
      <alignment horizontal="right"/>
    </xf>
    <xf numFmtId="4" fontId="17" fillId="9" borderId="15" xfId="0" applyNumberFormat="1" applyFont="1" applyFill="1" applyBorder="1" applyAlignment="1">
      <alignment horizontal="right"/>
    </xf>
    <xf numFmtId="4" fontId="18" fillId="10" borderId="15" xfId="0" applyNumberFormat="1" applyFont="1" applyFill="1" applyBorder="1" applyAlignment="1">
      <alignment horizontal="right"/>
    </xf>
    <xf numFmtId="4" fontId="15" fillId="13" borderId="15" xfId="0" applyNumberFormat="1" applyFont="1" applyFill="1" applyBorder="1" applyAlignment="1">
      <alignment horizontal="right"/>
    </xf>
    <xf numFmtId="4" fontId="13" fillId="8" borderId="15" xfId="0" applyNumberFormat="1" applyFont="1" applyFill="1" applyBorder="1" applyAlignment="1">
      <alignment horizontal="right"/>
    </xf>
    <xf numFmtId="4" fontId="0" fillId="0" borderId="21" xfId="0" applyNumberFormat="1" applyBorder="1"/>
    <xf numFmtId="4" fontId="16" fillId="6" borderId="22" xfId="0" applyNumberFormat="1" applyFont="1" applyFill="1" applyBorder="1" applyAlignment="1">
      <alignment horizontal="right"/>
    </xf>
    <xf numFmtId="2" fontId="7" fillId="4" borderId="18" xfId="0" applyNumberFormat="1" applyFont="1" applyFill="1" applyBorder="1" applyAlignment="1">
      <alignment horizontal="right" vertical="center" wrapText="1"/>
    </xf>
    <xf numFmtId="2" fontId="8" fillId="5" borderId="19" xfId="0" applyNumberFormat="1" applyFont="1" applyFill="1" applyBorder="1" applyAlignment="1">
      <alignment horizontal="right"/>
    </xf>
    <xf numFmtId="2" fontId="16" fillId="6" borderId="16" xfId="0" applyNumberFormat="1" applyFont="1" applyFill="1" applyBorder="1" applyAlignment="1">
      <alignment horizontal="right"/>
    </xf>
    <xf numFmtId="2" fontId="11" fillId="11" borderId="16" xfId="0" applyNumberFormat="1" applyFont="1" applyFill="1" applyBorder="1" applyAlignment="1">
      <alignment horizontal="right"/>
    </xf>
    <xf numFmtId="2" fontId="14" fillId="12" borderId="23" xfId="0" applyNumberFormat="1" applyFont="1" applyFill="1" applyBorder="1" applyAlignment="1">
      <alignment horizontal="right"/>
    </xf>
    <xf numFmtId="2" fontId="9" fillId="7" borderId="17" xfId="0" applyNumberFormat="1" applyFont="1" applyFill="1" applyBorder="1" applyAlignment="1">
      <alignment horizontal="right"/>
    </xf>
    <xf numFmtId="2" fontId="17" fillId="9" borderId="15" xfId="0" applyNumberFormat="1" applyFont="1" applyFill="1" applyBorder="1" applyAlignment="1">
      <alignment horizontal="right"/>
    </xf>
    <xf numFmtId="2" fontId="18" fillId="10" borderId="15" xfId="0" applyNumberFormat="1" applyFont="1" applyFill="1" applyBorder="1" applyAlignment="1">
      <alignment horizontal="right"/>
    </xf>
    <xf numFmtId="2" fontId="15" fillId="13" borderId="15" xfId="0" applyNumberFormat="1" applyFont="1" applyFill="1" applyBorder="1" applyAlignment="1">
      <alignment horizontal="right"/>
    </xf>
    <xf numFmtId="2" fontId="13" fillId="8" borderId="15" xfId="0" applyNumberFormat="1" applyFont="1" applyFill="1" applyBorder="1" applyAlignment="1">
      <alignment horizontal="right"/>
    </xf>
    <xf numFmtId="2" fontId="26" fillId="0" borderId="0" xfId="0" applyNumberFormat="1" applyFont="1" applyFill="1" applyBorder="1" applyAlignment="1">
      <alignment horizontal="right"/>
    </xf>
    <xf numFmtId="0" fontId="24" fillId="0" borderId="0" xfId="0" applyFont="1" applyFill="1" applyBorder="1"/>
    <xf numFmtId="2" fontId="36" fillId="0" borderId="15" xfId="0" applyNumberFormat="1" applyFont="1" applyFill="1" applyBorder="1"/>
    <xf numFmtId="2" fontId="35" fillId="0" borderId="24" xfId="0" applyNumberFormat="1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2" fillId="14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2" fontId="31" fillId="14" borderId="12" xfId="0" applyNumberFormat="1" applyFont="1" applyFill="1" applyBorder="1" applyAlignment="1">
      <alignment vertical="center" wrapText="1"/>
    </xf>
    <xf numFmtId="0" fontId="31" fillId="14" borderId="11" xfId="0" applyFont="1" applyFill="1" applyBorder="1" applyAlignment="1">
      <alignment vertical="center"/>
    </xf>
    <xf numFmtId="0" fontId="27" fillId="15" borderId="0" xfId="0" applyFont="1" applyFill="1" applyAlignment="1"/>
    <xf numFmtId="0" fontId="0" fillId="0" borderId="0" xfId="0" applyAlignment="1"/>
    <xf numFmtId="0" fontId="28" fillId="15" borderId="0" xfId="0" applyFont="1" applyFill="1" applyAlignment="1"/>
    <xf numFmtId="0" fontId="29" fillId="0" borderId="0" xfId="0" applyFont="1" applyAlignment="1"/>
    <xf numFmtId="0" fontId="28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BCECD"/>
      <color rgb="FFDC8EC6"/>
      <color rgb="FFE7B5DA"/>
      <color rgb="FFF8A6A6"/>
      <color rgb="FFF5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B$12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88</xdr:row>
      <xdr:rowOff>123825</xdr:rowOff>
    </xdr:from>
    <xdr:to>
      <xdr:col>0</xdr:col>
      <xdr:colOff>752475</xdr:colOff>
      <xdr:row>89</xdr:row>
      <xdr:rowOff>180975</xdr:rowOff>
    </xdr:to>
    <xdr:pic>
      <xdr:nvPicPr>
        <xdr:cNvPr id="3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0125" y="17059275"/>
          <a:ext cx="5143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238125</xdr:colOff>
      <xdr:row>69</xdr:row>
      <xdr:rowOff>142875</xdr:rowOff>
    </xdr:from>
    <xdr:to>
      <xdr:col>2</xdr:col>
      <xdr:colOff>752475</xdr:colOff>
      <xdr:row>71</xdr:row>
      <xdr:rowOff>9525</xdr:rowOff>
    </xdr:to>
    <xdr:pic>
      <xdr:nvPicPr>
        <xdr:cNvPr id="8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4125" y="13820775"/>
          <a:ext cx="5143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3</xdr:row>
      <xdr:rowOff>10160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851275" y="7727315"/>
          <a:ext cx="3350895" cy="1153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 marL="1350645" marR="1350645" algn="ctr">
            <a:spcBef>
              <a:spcPts val="280"/>
            </a:spcBef>
            <a:spcAft>
              <a:spcPts val="0"/>
            </a:spcAft>
          </a:pPr>
          <a:r>
            <a:rPr lang="en-US" sz="1600" b="1">
              <a:solidFill>
                <a:srgbClr val="FFFFFF"/>
              </a:solidFill>
              <a:effectLst/>
              <a:latin typeface="Arial" panose="020B0604020202020204" pitchFamily="34" charset="0"/>
              <a:ea typeface="Arial" panose="020B0604020202020204" pitchFamily="34" charset="0"/>
            </a:rPr>
            <a:t>Turno</a:t>
          </a:r>
          <a:endParaRPr lang="es-ES" sz="1100">
            <a:effectLst/>
            <a:latin typeface="Arial" panose="020B0604020202020204" pitchFamily="34" charset="0"/>
            <a:ea typeface="Arial" panose="020B0604020202020204" pitchFamily="34" charset="0"/>
          </a:endParaRPr>
        </a:p>
        <a:p>
          <a:pPr>
            <a:spcAft>
              <a:spcPts val="0"/>
            </a:spcAft>
          </a:pPr>
          <a:r>
            <a:rPr lang="en-US" sz="1100">
              <a:effectLst/>
              <a:latin typeface="Arial" panose="020B0604020202020204" pitchFamily="34" charset="0"/>
              <a:ea typeface="Arial" panose="020B0604020202020204" pitchFamily="34" charset="0"/>
            </a:rPr>
            <a:t> </a:t>
          </a:r>
          <a:endParaRPr lang="es-ES" sz="1100">
            <a:effectLst/>
            <a:latin typeface="Arial" panose="020B0604020202020204" pitchFamily="34" charset="0"/>
            <a:ea typeface="Arial" panose="020B0604020202020204" pitchFamily="34" charset="0"/>
          </a:endParaRPr>
        </a:p>
        <a:p>
          <a:pPr marL="170180" marR="170180" algn="ctr">
            <a:spcBef>
              <a:spcPts val="95"/>
            </a:spcBef>
            <a:spcAft>
              <a:spcPts val="0"/>
            </a:spcAft>
          </a:pPr>
          <a:r>
            <a:rPr lang="en-US" sz="1000" b="1">
              <a:solidFill>
                <a:srgbClr val="231F20"/>
              </a:solidFill>
              <a:effectLst/>
              <a:latin typeface="Arial" panose="020B0604020202020204" pitchFamily="34" charset="0"/>
              <a:ea typeface="Arial" panose="020B0604020202020204" pitchFamily="34" charset="0"/>
            </a:rPr>
            <a:t>Anual</a:t>
          </a:r>
          <a:endParaRPr lang="es-ES" sz="1100">
            <a:effectLst/>
            <a:latin typeface="Arial" panose="020B0604020202020204" pitchFamily="34" charset="0"/>
            <a:ea typeface="Arial" panose="020B0604020202020204" pitchFamily="34" charset="0"/>
          </a:endParaRPr>
        </a:p>
        <a:p>
          <a:pPr marL="163195" marR="163195" algn="ctr">
            <a:spcBef>
              <a:spcPts val="95"/>
            </a:spcBef>
            <a:spcAft>
              <a:spcPts val="0"/>
            </a:spcAft>
          </a:pPr>
          <a:r>
            <a:rPr lang="en-US" sz="1000" b="1">
              <a:solidFill>
                <a:srgbClr val="231F20"/>
              </a:solidFill>
              <a:effectLst/>
              <a:latin typeface="Arial" panose="020B0604020202020204" pitchFamily="34" charset="0"/>
              <a:ea typeface="Arial" panose="020B0604020202020204" pitchFamily="34" charset="0"/>
            </a:rPr>
            <a:t>Mensual</a:t>
          </a:r>
          <a:endParaRPr lang="es-ES" sz="1100">
            <a:effectLst/>
            <a:latin typeface="Arial" panose="020B0604020202020204" pitchFamily="34" charset="0"/>
            <a:ea typeface="Arial" panose="020B0604020202020204" pitchFamily="34" charset="0"/>
          </a:endParaRPr>
        </a:p>
        <a:p>
          <a:pPr marL="36830" marR="213995" algn="l">
            <a:spcBef>
              <a:spcPts val="95"/>
            </a:spcBef>
            <a:spcAft>
              <a:spcPts val="0"/>
            </a:spcAft>
          </a:pPr>
          <a:r>
            <a:rPr lang="en-US" sz="1000" b="1">
              <a:solidFill>
                <a:srgbClr val="231F20"/>
              </a:solidFill>
              <a:effectLst/>
              <a:latin typeface="Arial" panose="020B0604020202020204" pitchFamily="34" charset="0"/>
              <a:ea typeface="Arial" panose="020B0604020202020204" pitchFamily="34" charset="0"/>
            </a:rPr>
            <a:t>Cerrado continuo</a:t>
          </a:r>
          <a:endParaRPr lang="es-ES" sz="1100">
            <a:effectLst/>
            <a:latin typeface="Arial" panose="020B0604020202020204" pitchFamily="34" charset="0"/>
            <a:ea typeface="Arial" panose="020B0604020202020204" pitchFamily="34" charset="0"/>
          </a:endParaRPr>
        </a:p>
        <a:p>
          <a:pPr marL="170180" marR="170180" algn="ctr">
            <a:spcBef>
              <a:spcPts val="95"/>
            </a:spcBef>
            <a:spcAft>
              <a:spcPts val="0"/>
            </a:spcAft>
          </a:pPr>
          <a:r>
            <a:rPr lang="en-US" sz="1000">
              <a:solidFill>
                <a:srgbClr val="231F20"/>
              </a:solidFill>
              <a:effectLst/>
              <a:latin typeface="Arial" panose="020B0604020202020204" pitchFamily="34" charset="0"/>
              <a:ea typeface="Arial" panose="020B0604020202020204" pitchFamily="34" charset="0"/>
            </a:rPr>
            <a:t>7.987,65</a:t>
          </a:r>
          <a:endParaRPr lang="es-ES" sz="1100">
            <a:effectLst/>
            <a:latin typeface="Arial" panose="020B0604020202020204" pitchFamily="34" charset="0"/>
            <a:ea typeface="Arial" panose="020B0604020202020204" pitchFamily="34" charset="0"/>
          </a:endParaRPr>
        </a:p>
        <a:p>
          <a:pPr marL="170180" marR="170180" algn="ctr">
            <a:spcBef>
              <a:spcPts val="95"/>
            </a:spcBef>
            <a:spcAft>
              <a:spcPts val="0"/>
            </a:spcAft>
          </a:pPr>
          <a:r>
            <a:rPr lang="en-US" sz="1000">
              <a:solidFill>
                <a:srgbClr val="231F20"/>
              </a:solidFill>
              <a:effectLst/>
              <a:latin typeface="Arial" panose="020B0604020202020204" pitchFamily="34" charset="0"/>
              <a:ea typeface="Arial" panose="020B0604020202020204" pitchFamily="34" charset="0"/>
            </a:rPr>
            <a:t>665,64</a:t>
          </a:r>
          <a:endParaRPr lang="es-ES" sz="1100">
            <a:effectLst/>
            <a:latin typeface="Arial" panose="020B0604020202020204" pitchFamily="34" charset="0"/>
            <a:ea typeface="Arial" panose="020B0604020202020204" pitchFamily="34" charset="0"/>
          </a:endParaRPr>
        </a:p>
        <a:p>
          <a:pPr marL="36830" marR="213995" algn="l">
            <a:spcBef>
              <a:spcPts val="95"/>
            </a:spcBef>
            <a:spcAft>
              <a:spcPts val="0"/>
            </a:spcAft>
          </a:pPr>
          <a:r>
            <a:rPr lang="en-US" sz="1000" b="1">
              <a:solidFill>
                <a:srgbClr val="231F20"/>
              </a:solidFill>
              <a:effectLst/>
              <a:latin typeface="Arial" panose="020B0604020202020204" pitchFamily="34" charset="0"/>
              <a:ea typeface="Arial" panose="020B0604020202020204" pitchFamily="34" charset="0"/>
            </a:rPr>
            <a:t>Abierto continuo</a:t>
          </a:r>
          <a:endParaRPr lang="es-ES" sz="1100">
            <a:effectLst/>
            <a:latin typeface="Arial" panose="020B0604020202020204" pitchFamily="34" charset="0"/>
            <a:ea typeface="Arial" panose="020B0604020202020204" pitchFamily="34" charset="0"/>
          </a:endParaRPr>
        </a:p>
        <a:p>
          <a:pPr marL="170180" marR="170180" algn="ctr">
            <a:spcBef>
              <a:spcPts val="95"/>
            </a:spcBef>
            <a:spcAft>
              <a:spcPts val="0"/>
            </a:spcAft>
          </a:pPr>
          <a:r>
            <a:rPr lang="en-US" sz="1000">
              <a:solidFill>
                <a:srgbClr val="231F20"/>
              </a:solidFill>
              <a:effectLst/>
              <a:latin typeface="Arial" panose="020B0604020202020204" pitchFamily="34" charset="0"/>
              <a:ea typeface="Arial" panose="020B0604020202020204" pitchFamily="34" charset="0"/>
            </a:rPr>
            <a:t>6.619,29</a:t>
          </a:r>
          <a:endParaRPr lang="es-ES" sz="1100">
            <a:effectLst/>
            <a:latin typeface="Arial" panose="020B0604020202020204" pitchFamily="34" charset="0"/>
            <a:ea typeface="Arial" panose="020B0604020202020204" pitchFamily="34" charset="0"/>
          </a:endParaRPr>
        </a:p>
        <a:p>
          <a:pPr marL="170180" marR="170180" algn="ctr">
            <a:spcBef>
              <a:spcPts val="95"/>
            </a:spcBef>
            <a:spcAft>
              <a:spcPts val="0"/>
            </a:spcAft>
          </a:pPr>
          <a:r>
            <a:rPr lang="en-US" sz="1000">
              <a:solidFill>
                <a:srgbClr val="231F20"/>
              </a:solidFill>
              <a:effectLst/>
              <a:latin typeface="Arial" panose="020B0604020202020204" pitchFamily="34" charset="0"/>
              <a:ea typeface="Arial" panose="020B0604020202020204" pitchFamily="34" charset="0"/>
            </a:rPr>
            <a:t>551,61</a:t>
          </a:r>
          <a:endParaRPr lang="es-ES" sz="1100">
            <a:effectLst/>
            <a:latin typeface="Arial" panose="020B0604020202020204" pitchFamily="34" charset="0"/>
            <a:ea typeface="Arial" panose="020B0604020202020204" pitchFamily="34" charset="0"/>
          </a:endParaRPr>
        </a:p>
        <a:p>
          <a:pPr marL="36830" marR="213995" algn="l">
            <a:spcBef>
              <a:spcPts val="95"/>
            </a:spcBef>
            <a:spcAft>
              <a:spcPts val="0"/>
            </a:spcAft>
          </a:pPr>
          <a:r>
            <a:rPr lang="en-US" sz="1000" b="1">
              <a:solidFill>
                <a:srgbClr val="231F20"/>
              </a:solidFill>
              <a:effectLst/>
              <a:latin typeface="Arial" panose="020B0604020202020204" pitchFamily="34" charset="0"/>
              <a:ea typeface="Arial" panose="020B0604020202020204" pitchFamily="34" charset="0"/>
            </a:rPr>
            <a:t>Abierto discontinuo</a:t>
          </a:r>
          <a:endParaRPr lang="es-ES" sz="1100">
            <a:effectLst/>
            <a:latin typeface="Arial" panose="020B0604020202020204" pitchFamily="34" charset="0"/>
            <a:ea typeface="Arial" panose="020B0604020202020204" pitchFamily="34" charset="0"/>
          </a:endParaRPr>
        </a:p>
        <a:p>
          <a:pPr marL="170180" marR="170180" algn="ctr">
            <a:spcBef>
              <a:spcPts val="95"/>
            </a:spcBef>
            <a:spcAft>
              <a:spcPts val="0"/>
            </a:spcAft>
          </a:pPr>
          <a:r>
            <a:rPr lang="en-US" sz="1000">
              <a:solidFill>
                <a:srgbClr val="231F20"/>
              </a:solidFill>
              <a:effectLst/>
              <a:latin typeface="Arial" panose="020B0604020202020204" pitchFamily="34" charset="0"/>
              <a:ea typeface="Arial" panose="020B0604020202020204" pitchFamily="34" charset="0"/>
            </a:rPr>
            <a:t>5.503,10</a:t>
          </a:r>
          <a:endParaRPr lang="es-ES" sz="1100">
            <a:effectLst/>
            <a:latin typeface="Arial" panose="020B0604020202020204" pitchFamily="34" charset="0"/>
            <a:ea typeface="Arial" panose="020B0604020202020204" pitchFamily="34" charset="0"/>
          </a:endParaRPr>
        </a:p>
        <a:p>
          <a:pPr marL="170180" marR="170180" algn="ctr">
            <a:spcBef>
              <a:spcPts val="95"/>
            </a:spcBef>
            <a:spcAft>
              <a:spcPts val="0"/>
            </a:spcAft>
          </a:pPr>
          <a:r>
            <a:rPr lang="en-US" sz="1000">
              <a:solidFill>
                <a:srgbClr val="231F20"/>
              </a:solidFill>
              <a:effectLst/>
              <a:latin typeface="Arial" panose="020B0604020202020204" pitchFamily="34" charset="0"/>
              <a:ea typeface="Arial" panose="020B0604020202020204" pitchFamily="34" charset="0"/>
            </a:rPr>
            <a:t>458,59</a:t>
          </a:r>
          <a:endParaRPr lang="es-ES" sz="1100">
            <a:effectLst/>
            <a:latin typeface="Arial" panose="020B0604020202020204" pitchFamily="34" charset="0"/>
            <a:ea typeface="Arial" panose="020B0604020202020204" pitchFamily="34" charset="0"/>
          </a:endParaRPr>
        </a:p>
        <a:p>
          <a:pPr>
            <a:spcAft>
              <a:spcPts val="0"/>
            </a:spcAft>
          </a:pPr>
          <a:r>
            <a:rPr lang="en-US" sz="1600" b="1">
              <a:effectLst/>
              <a:latin typeface="Arial" panose="020B0604020202020204" pitchFamily="34" charset="0"/>
              <a:ea typeface="Arial" panose="020B0604020202020204" pitchFamily="34" charset="0"/>
            </a:rPr>
            <a:t> </a:t>
          </a:r>
          <a:endParaRPr lang="es-ES" sz="1600" b="1">
            <a:effectLst/>
            <a:latin typeface="Arial" panose="020B0604020202020204" pitchFamily="34" charset="0"/>
            <a:ea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8985</xdr:colOff>
      <xdr:row>22</xdr:row>
      <xdr:rowOff>89859</xdr:rowOff>
    </xdr:from>
    <xdr:to>
      <xdr:col>8</xdr:col>
      <xdr:colOff>458278</xdr:colOff>
      <xdr:row>23</xdr:row>
      <xdr:rowOff>170731</xdr:rowOff>
    </xdr:to>
    <xdr:cxnSp macro="">
      <xdr:nvCxnSpPr>
        <xdr:cNvPr id="4" name="Conector recto de flecha 3"/>
        <xdr:cNvCxnSpPr/>
      </xdr:nvCxnSpPr>
      <xdr:spPr>
        <a:xfrm>
          <a:off x="7880589" y="4834387"/>
          <a:ext cx="449293" cy="50320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8985</xdr:colOff>
      <xdr:row>25</xdr:row>
      <xdr:rowOff>26958</xdr:rowOff>
    </xdr:from>
    <xdr:to>
      <xdr:col>8</xdr:col>
      <xdr:colOff>440306</xdr:colOff>
      <xdr:row>37</xdr:row>
      <xdr:rowOff>98847</xdr:rowOff>
    </xdr:to>
    <xdr:cxnSp macro="">
      <xdr:nvCxnSpPr>
        <xdr:cNvPr id="7" name="Conector recto de flecha 6"/>
        <xdr:cNvCxnSpPr/>
      </xdr:nvCxnSpPr>
      <xdr:spPr>
        <a:xfrm flipV="1">
          <a:off x="8707287" y="5373538"/>
          <a:ext cx="431321" cy="242618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8986</xdr:colOff>
      <xdr:row>0</xdr:row>
      <xdr:rowOff>0</xdr:rowOff>
    </xdr:from>
    <xdr:to>
      <xdr:col>11</xdr:col>
      <xdr:colOff>31989</xdr:colOff>
      <xdr:row>2</xdr:row>
      <xdr:rowOff>185647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0024" y="709882"/>
          <a:ext cx="1550598" cy="742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10</xdr:row>
          <xdr:rowOff>180975</xdr:rowOff>
        </xdr:from>
        <xdr:to>
          <xdr:col>1</xdr:col>
          <xdr:colOff>1181100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Personal IV Convenio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0"/>
  <sheetViews>
    <sheetView tabSelected="1" zoomScale="106" workbookViewId="0">
      <selection activeCell="F17" sqref="F17"/>
    </sheetView>
  </sheetViews>
  <sheetFormatPr baseColWidth="10" defaultRowHeight="15" x14ac:dyDescent="0.25"/>
  <cols>
    <col min="1" max="1" width="6.5703125" customWidth="1"/>
    <col min="2" max="2" width="62" customWidth="1"/>
    <col min="11" max="11" width="11.42578125" style="45"/>
  </cols>
  <sheetData>
    <row r="1" spans="1:18" ht="28.5" customHeight="1" thickBot="1" x14ac:dyDescent="0.6">
      <c r="A1" s="86" t="s">
        <v>28</v>
      </c>
      <c r="B1" s="87"/>
      <c r="C1" s="77" t="s">
        <v>0</v>
      </c>
      <c r="D1" s="79" t="s">
        <v>1</v>
      </c>
      <c r="E1" s="1">
        <v>0.75</v>
      </c>
      <c r="F1" s="1">
        <v>0.85</v>
      </c>
      <c r="G1" s="77" t="s">
        <v>2</v>
      </c>
      <c r="H1" s="7" t="s">
        <v>9</v>
      </c>
      <c r="I1" s="81" t="s">
        <v>27</v>
      </c>
    </row>
    <row r="2" spans="1:18" ht="15.75" thickBot="1" x14ac:dyDescent="0.3">
      <c r="A2" s="88" t="s">
        <v>29</v>
      </c>
      <c r="B2" s="89"/>
      <c r="C2" s="78"/>
      <c r="D2" s="80"/>
      <c r="E2" s="2" t="s">
        <v>3</v>
      </c>
      <c r="F2" s="2" t="s">
        <v>4</v>
      </c>
      <c r="G2" s="78"/>
      <c r="H2" s="8"/>
      <c r="I2" s="82"/>
    </row>
    <row r="3" spans="1:18" ht="15.75" thickBot="1" x14ac:dyDescent="0.3">
      <c r="A3" s="43"/>
      <c r="B3" s="44"/>
      <c r="C3" s="5">
        <v>0</v>
      </c>
      <c r="D3" s="9">
        <v>2937.0147777774991</v>
      </c>
      <c r="E3" s="3">
        <v>2202.7610833331241</v>
      </c>
      <c r="F3" s="3">
        <v>2496.4622623456244</v>
      </c>
      <c r="G3" s="4">
        <v>3091.5944243012495</v>
      </c>
      <c r="H3" s="6">
        <f>IF(B12=FALSE,-43.19,0)</f>
        <v>0</v>
      </c>
      <c r="I3" s="82"/>
    </row>
    <row r="4" spans="1:18" ht="15.75" thickBot="1" x14ac:dyDescent="0.3">
      <c r="A4" s="90" t="s">
        <v>30</v>
      </c>
      <c r="B4" s="89"/>
      <c r="C4" s="5" t="s">
        <v>5</v>
      </c>
      <c r="D4" s="9">
        <v>2554.0119186268748</v>
      </c>
      <c r="E4" s="3">
        <v>1915.5087522418742</v>
      </c>
      <c r="F4" s="3">
        <v>2170.9097200306246</v>
      </c>
      <c r="G4" s="4">
        <v>2688.4338737331236</v>
      </c>
      <c r="H4" s="6">
        <f>IF(B12=FALSE,-37.56,0)</f>
        <v>0</v>
      </c>
      <c r="I4" s="82"/>
    </row>
    <row r="5" spans="1:18" ht="15.75" thickBot="1" x14ac:dyDescent="0.3">
      <c r="A5" s="90" t="s">
        <v>31</v>
      </c>
      <c r="B5" s="89"/>
      <c r="C5" s="5" t="s">
        <v>6</v>
      </c>
      <c r="D5" s="9">
        <v>2359.5493519674992</v>
      </c>
      <c r="E5" s="3">
        <v>1769.6612670624995</v>
      </c>
      <c r="F5" s="3">
        <v>2005.6170985549998</v>
      </c>
      <c r="G5" s="4">
        <v>2483.7363565218739</v>
      </c>
      <c r="H5" s="6">
        <f>IF(B12=FALSE,-34.7,0)</f>
        <v>0</v>
      </c>
      <c r="I5" s="82"/>
      <c r="L5" s="29"/>
      <c r="M5" s="29"/>
      <c r="N5" s="29"/>
      <c r="O5" s="29"/>
      <c r="P5" s="29"/>
      <c r="Q5" s="29"/>
      <c r="R5" s="29"/>
    </row>
    <row r="6" spans="1:18" ht="15.75" thickBot="1" x14ac:dyDescent="0.3">
      <c r="A6" s="90" t="s">
        <v>32</v>
      </c>
      <c r="B6" s="89"/>
      <c r="C6" s="5" t="s">
        <v>7</v>
      </c>
      <c r="D6" s="9">
        <v>2051.7830518981241</v>
      </c>
      <c r="E6" s="3">
        <v>1538.8367287387493</v>
      </c>
      <c r="F6" s="3">
        <v>1744.0160049156248</v>
      </c>
      <c r="G6" s="4">
        <v>2159.7710045974986</v>
      </c>
      <c r="H6" s="6">
        <f>IF(B12=FALSE,-30.17,0)</f>
        <v>0</v>
      </c>
      <c r="I6" s="82"/>
      <c r="K6" s="47"/>
      <c r="L6" s="29"/>
      <c r="M6" s="29"/>
      <c r="N6" s="29"/>
      <c r="O6" s="29"/>
      <c r="P6" s="29"/>
      <c r="Q6" s="29"/>
      <c r="R6" s="29"/>
    </row>
    <row r="7" spans="1:18" ht="15.75" thickBot="1" x14ac:dyDescent="0.3">
      <c r="C7" s="5" t="s">
        <v>8</v>
      </c>
      <c r="D7" s="9">
        <v>1768.7589960074993</v>
      </c>
      <c r="E7" s="3">
        <v>1326.5685000924998</v>
      </c>
      <c r="F7" s="3">
        <v>1503.4449972237494</v>
      </c>
      <c r="G7" s="4">
        <v>1861.8512602549997</v>
      </c>
      <c r="H7" s="6">
        <f>IF(B12=FALSE,-26.01,0)</f>
        <v>0</v>
      </c>
      <c r="I7" s="83"/>
      <c r="L7" s="29"/>
      <c r="M7" s="29"/>
      <c r="N7" s="29"/>
      <c r="O7" s="29"/>
      <c r="P7" s="29"/>
      <c r="Q7" s="29"/>
      <c r="R7" s="29"/>
    </row>
    <row r="8" spans="1:18" ht="26.25" thickBot="1" x14ac:dyDescent="0.3">
      <c r="A8" s="84" t="s">
        <v>33</v>
      </c>
      <c r="B8" s="85"/>
      <c r="C8" s="10" t="s">
        <v>10</v>
      </c>
      <c r="D8" s="41">
        <v>3180.7205261100007</v>
      </c>
      <c r="E8" t="s">
        <v>12</v>
      </c>
      <c r="L8" s="29"/>
      <c r="M8" s="29"/>
      <c r="N8" s="29"/>
      <c r="O8" s="29"/>
      <c r="P8" s="29"/>
      <c r="Q8" s="29"/>
      <c r="R8" s="29"/>
    </row>
    <row r="9" spans="1:18" ht="9" customHeight="1" x14ac:dyDescent="0.25">
      <c r="L9" s="29"/>
      <c r="M9" s="29"/>
      <c r="N9" s="29"/>
      <c r="O9" s="29"/>
      <c r="P9" s="29"/>
      <c r="Q9" s="29"/>
      <c r="R9" s="29"/>
    </row>
    <row r="10" spans="1:18" ht="9" customHeight="1" x14ac:dyDescent="0.25">
      <c r="L10" s="29"/>
      <c r="M10" s="29"/>
      <c r="N10" s="29"/>
      <c r="O10" s="29"/>
      <c r="P10" s="29"/>
      <c r="Q10" s="29"/>
      <c r="R10" s="29"/>
    </row>
    <row r="11" spans="1:18" ht="15.75" x14ac:dyDescent="0.25">
      <c r="B11" s="24" t="s">
        <v>34</v>
      </c>
      <c r="C11" s="24">
        <f>IF(B12=FALSE,1,1.5)</f>
        <v>1.5</v>
      </c>
      <c r="D11" s="24" t="s">
        <v>35</v>
      </c>
      <c r="E11" s="26" t="s">
        <v>38</v>
      </c>
      <c r="J11" s="52"/>
      <c r="K11" s="52"/>
      <c r="L11" s="52"/>
      <c r="M11" s="52"/>
      <c r="N11" s="52"/>
      <c r="O11" s="52"/>
      <c r="P11" s="52"/>
      <c r="Q11" s="29"/>
      <c r="R11" s="29"/>
    </row>
    <row r="12" spans="1:18" ht="15.75" x14ac:dyDescent="0.25">
      <c r="B12" s="51" t="b">
        <v>1</v>
      </c>
      <c r="C12" s="45">
        <f>1+(C11/100)</f>
        <v>1.0149999999999999</v>
      </c>
      <c r="E12" s="26"/>
      <c r="J12" s="45"/>
      <c r="L12" s="45"/>
      <c r="M12" s="45"/>
      <c r="N12" s="45"/>
      <c r="O12" s="52"/>
      <c r="P12" s="52"/>
      <c r="Q12" s="29"/>
      <c r="R12" s="29"/>
    </row>
    <row r="13" spans="1:18" x14ac:dyDescent="0.25">
      <c r="B13" s="11"/>
      <c r="C13" s="12" t="s">
        <v>13</v>
      </c>
      <c r="D13" s="17" t="s">
        <v>15</v>
      </c>
      <c r="E13" s="22" t="s">
        <v>16</v>
      </c>
      <c r="F13" s="16" t="s">
        <v>16</v>
      </c>
      <c r="G13" s="19" t="s">
        <v>16</v>
      </c>
      <c r="H13" s="12" t="s">
        <v>18</v>
      </c>
      <c r="J13" s="45"/>
      <c r="L13" s="45"/>
      <c r="M13" s="45"/>
      <c r="N13" s="45"/>
      <c r="O13" s="52"/>
      <c r="P13" s="52"/>
      <c r="Q13" s="29"/>
      <c r="R13" s="29"/>
    </row>
    <row r="14" spans="1:18" ht="15.75" thickBot="1" x14ac:dyDescent="0.3">
      <c r="B14" s="11" t="b">
        <v>1</v>
      </c>
      <c r="C14" s="12" t="s">
        <v>14</v>
      </c>
      <c r="D14" s="17">
        <v>2020</v>
      </c>
      <c r="E14" s="22">
        <v>2018</v>
      </c>
      <c r="F14" s="16">
        <v>2019</v>
      </c>
      <c r="G14" s="20" t="s">
        <v>17</v>
      </c>
      <c r="H14" s="12" t="s">
        <v>16</v>
      </c>
      <c r="J14" s="45"/>
      <c r="K14" s="45" t="s">
        <v>26</v>
      </c>
      <c r="L14" s="45"/>
      <c r="M14" s="45"/>
      <c r="N14" s="45"/>
      <c r="O14" s="52"/>
      <c r="P14" s="52"/>
      <c r="Q14" s="29"/>
      <c r="R14" s="29"/>
    </row>
    <row r="15" spans="1:18" ht="17.25" thickTop="1" thickBot="1" x14ac:dyDescent="0.3">
      <c r="B15" s="11" t="s">
        <v>36</v>
      </c>
      <c r="C15" s="42">
        <v>100</v>
      </c>
      <c r="D15" s="31">
        <f>C15*(1.015^3)</f>
        <v>104.56783749999997</v>
      </c>
      <c r="E15" s="32">
        <f>(C15*(C12-1))*14</f>
        <v>20.999999999999865</v>
      </c>
      <c r="F15" s="33">
        <f>(C15*((C12^2)-1))*14</f>
        <v>42.314999999999614</v>
      </c>
      <c r="G15" s="34">
        <f>(C15*((C12^3)-1))</f>
        <v>4.5678374999999605</v>
      </c>
      <c r="H15" s="35">
        <f>SUM(E15:G15)</f>
        <v>67.88283749999944</v>
      </c>
      <c r="J15" s="45"/>
      <c r="K15" s="46">
        <f>C15*C12*14</f>
        <v>1420.9999999999998</v>
      </c>
      <c r="L15" s="73"/>
      <c r="M15" s="73"/>
      <c r="N15" s="28"/>
      <c r="O15" s="52"/>
      <c r="P15" s="52"/>
      <c r="Q15" s="29"/>
      <c r="R15" s="29"/>
    </row>
    <row r="16" spans="1:18" ht="17.25" thickTop="1" thickBot="1" x14ac:dyDescent="0.3">
      <c r="B16" s="11" t="s">
        <v>37</v>
      </c>
      <c r="C16" s="42">
        <v>100</v>
      </c>
      <c r="D16" s="31">
        <f>IF(C16*(1.01^3)-(C15*(1.015^3-1.01^3))&gt;0,C16*(1.01^3)-(C15*(1.015^3-1.01^3)),0)</f>
        <v>101.49236250000003</v>
      </c>
      <c r="E16" s="32">
        <f>(C16*(0.01))*14</f>
        <v>14</v>
      </c>
      <c r="F16" s="33">
        <f>(C16*((1.01^2)-1))*14</f>
        <v>28.140000000000008</v>
      </c>
      <c r="G16" s="34">
        <f>(C16*((1.01^3)-1))</f>
        <v>3.0300999999999911</v>
      </c>
      <c r="H16" s="35">
        <f t="shared" ref="H16:H18" si="0">SUM(E16:G16)</f>
        <v>45.170099999999998</v>
      </c>
      <c r="J16" s="46"/>
      <c r="K16" s="46">
        <f>C16*C12*14</f>
        <v>1420.9999999999998</v>
      </c>
      <c r="L16" s="73"/>
      <c r="M16" s="73"/>
      <c r="N16" s="28"/>
      <c r="O16" s="52"/>
      <c r="P16" s="52"/>
      <c r="Q16" s="29"/>
      <c r="R16" s="29"/>
    </row>
    <row r="17" spans="2:18" ht="17.25" thickTop="1" thickBot="1" x14ac:dyDescent="0.3">
      <c r="B17" s="11" t="s">
        <v>39</v>
      </c>
      <c r="C17" s="42">
        <v>100</v>
      </c>
      <c r="D17" s="31">
        <f>C17*(1.01^3)</f>
        <v>103.03009999999999</v>
      </c>
      <c r="E17" s="32">
        <f>(C17*0.01)*12</f>
        <v>12</v>
      </c>
      <c r="F17" s="33">
        <f>(C17*((1.01^2)-1))*12</f>
        <v>24.120000000000008</v>
      </c>
      <c r="G17" s="34">
        <f>(C17*((1.01^3)-1))</f>
        <v>3.0300999999999911</v>
      </c>
      <c r="H17" s="35">
        <f t="shared" si="0"/>
        <v>39.150099999999995</v>
      </c>
      <c r="J17" s="46"/>
      <c r="K17" s="46">
        <f>C17*1.01*12</f>
        <v>1212</v>
      </c>
      <c r="L17" s="73"/>
      <c r="M17" s="73"/>
      <c r="N17" s="28"/>
      <c r="O17" s="52"/>
      <c r="P17" s="52"/>
      <c r="Q17" s="29"/>
      <c r="R17" s="29"/>
    </row>
    <row r="18" spans="2:18" ht="17.25" thickTop="1" thickBot="1" x14ac:dyDescent="0.3">
      <c r="B18" s="11" t="s">
        <v>21</v>
      </c>
      <c r="C18" s="42">
        <v>100</v>
      </c>
      <c r="D18" s="36"/>
      <c r="E18" s="32">
        <f>(C18*0.01)</f>
        <v>1</v>
      </c>
      <c r="F18" s="36"/>
      <c r="G18" s="36"/>
      <c r="H18" s="35">
        <f t="shared" si="0"/>
        <v>1</v>
      </c>
      <c r="J18" s="46"/>
      <c r="K18" s="46">
        <f>C18*1.01</f>
        <v>101</v>
      </c>
      <c r="L18" s="74"/>
      <c r="M18" s="74"/>
      <c r="N18" s="28"/>
      <c r="O18" s="52"/>
      <c r="P18" s="52"/>
      <c r="Q18" s="29"/>
      <c r="R18" s="29"/>
    </row>
    <row r="19" spans="2:18" ht="17.25" thickTop="1" thickBot="1" x14ac:dyDescent="0.3">
      <c r="B19" s="11" t="s">
        <v>22</v>
      </c>
      <c r="C19" s="42">
        <v>100</v>
      </c>
      <c r="D19" s="36"/>
      <c r="E19" s="36"/>
      <c r="F19" s="33">
        <f t="shared" ref="F19" si="1">(C19*((1.01^2)-1))</f>
        <v>2.0100000000000007</v>
      </c>
      <c r="G19" s="36"/>
      <c r="H19" s="35">
        <f t="shared" ref="H19:H20" si="2">SUM(E19:G19)</f>
        <v>2.0100000000000007</v>
      </c>
      <c r="J19" s="46"/>
      <c r="K19" s="30"/>
      <c r="L19" s="73"/>
      <c r="M19" s="74"/>
      <c r="N19" s="28"/>
      <c r="O19" s="52"/>
      <c r="P19" s="52"/>
      <c r="Q19" s="29"/>
      <c r="R19" s="29"/>
    </row>
    <row r="20" spans="2:18" ht="17.25" thickTop="1" thickBot="1" x14ac:dyDescent="0.3">
      <c r="B20" s="11" t="s">
        <v>23</v>
      </c>
      <c r="C20" s="42">
        <v>100</v>
      </c>
      <c r="D20" s="36"/>
      <c r="E20" s="36"/>
      <c r="F20" s="36"/>
      <c r="G20" s="34">
        <f>(C20*((1.01^3)-1))</f>
        <v>3.0300999999999911</v>
      </c>
      <c r="H20" s="37">
        <f t="shared" si="2"/>
        <v>3.0300999999999911</v>
      </c>
      <c r="J20" s="46"/>
      <c r="K20" s="30"/>
      <c r="L20" s="74"/>
      <c r="M20" s="73"/>
      <c r="N20" s="28"/>
      <c r="O20" s="52"/>
      <c r="P20" s="52"/>
      <c r="Q20" s="29"/>
      <c r="R20" s="29"/>
    </row>
    <row r="21" spans="2:18" ht="17.25" thickTop="1" thickBot="1" x14ac:dyDescent="0.3">
      <c r="B21" s="11" t="s">
        <v>11</v>
      </c>
      <c r="C21" s="53">
        <v>2293.11</v>
      </c>
      <c r="D21" s="54">
        <f>(((((C21*1.01)+270)*1.01)+270)*1.01)+270</f>
        <v>3180.7205261100007</v>
      </c>
      <c r="E21" s="48">
        <f>((C21*1.01)+270)-C21</f>
        <v>292.93110000000024</v>
      </c>
      <c r="F21" s="55">
        <f>((((C21*1.01)+270)*1.01)+270)-C21</f>
        <v>588.79151100000036</v>
      </c>
      <c r="G21" s="56"/>
      <c r="H21" s="49">
        <f>SUM(E21:G21)</f>
        <v>881.7226110000006</v>
      </c>
      <c r="J21" s="46"/>
      <c r="L21" s="73"/>
      <c r="M21" s="73"/>
      <c r="N21" s="28"/>
      <c r="O21" s="52"/>
      <c r="P21" s="52"/>
      <c r="Q21" s="29"/>
      <c r="R21" s="29"/>
    </row>
    <row r="22" spans="2:18" ht="15.75" thickBot="1" x14ac:dyDescent="0.3">
      <c r="B22" s="76" t="s">
        <v>25</v>
      </c>
      <c r="C22" s="61"/>
      <c r="D22" s="61"/>
      <c r="E22" s="62">
        <f>K22*0.005</f>
        <v>20.775000000000002</v>
      </c>
      <c r="F22" s="61"/>
      <c r="G22" s="61"/>
      <c r="H22" s="38">
        <f>SUM(E22:G22)</f>
        <v>20.775000000000002</v>
      </c>
      <c r="J22" s="46"/>
      <c r="K22" s="50">
        <f>SUM(K15:K20)</f>
        <v>4155</v>
      </c>
      <c r="L22" s="28"/>
      <c r="M22" s="28"/>
      <c r="N22" s="28"/>
      <c r="O22" s="52"/>
      <c r="P22" s="52"/>
      <c r="Q22" s="29"/>
      <c r="R22" s="29"/>
    </row>
    <row r="23" spans="2:18" ht="15.75" thickBot="1" x14ac:dyDescent="0.3">
      <c r="B23" s="75" t="s">
        <v>24</v>
      </c>
      <c r="C23" s="39"/>
      <c r="D23" s="39"/>
      <c r="E23" s="57">
        <f>SUM(E15:E21)</f>
        <v>340.93110000000013</v>
      </c>
      <c r="F23" s="58">
        <f>SUM(F15:F21)</f>
        <v>685.37651099999994</v>
      </c>
      <c r="G23" s="59">
        <f>SUM(G15:G21)</f>
        <v>13.658137499999935</v>
      </c>
      <c r="H23" s="60">
        <f>SUM(H15:H22)</f>
        <v>1060.7407485000001</v>
      </c>
      <c r="J23" s="45"/>
      <c r="L23" s="45"/>
      <c r="M23" s="45"/>
      <c r="N23" s="45"/>
      <c r="O23" s="52"/>
      <c r="P23" s="52"/>
      <c r="Q23" s="29"/>
      <c r="R23" s="29"/>
    </row>
    <row r="24" spans="2:18" ht="15.75" thickBot="1" x14ac:dyDescent="0.3">
      <c r="B24" s="29"/>
      <c r="C24" s="29"/>
      <c r="D24" s="29"/>
      <c r="E24" s="29"/>
      <c r="F24" s="29"/>
      <c r="G24" s="29"/>
      <c r="H24" s="29"/>
      <c r="J24" s="45"/>
      <c r="K24" s="28"/>
      <c r="L24" s="28"/>
      <c r="M24" s="28"/>
      <c r="N24" s="28"/>
      <c r="O24" s="52"/>
      <c r="P24" s="52"/>
      <c r="Q24" s="29"/>
      <c r="R24" s="29"/>
    </row>
    <row r="25" spans="2:18" ht="16.5" thickBot="1" x14ac:dyDescent="0.3">
      <c r="F25" s="25" t="s">
        <v>19</v>
      </c>
      <c r="I25" s="40">
        <f>H38-H23</f>
        <v>219.23586583279894</v>
      </c>
      <c r="J25" s="45"/>
      <c r="L25" s="45"/>
      <c r="M25" s="45"/>
      <c r="N25" s="45"/>
      <c r="O25" s="52"/>
      <c r="P25" s="52"/>
      <c r="Q25" s="29"/>
      <c r="R25" s="29"/>
    </row>
    <row r="26" spans="2:18" ht="15.75" x14ac:dyDescent="0.25">
      <c r="F26" s="25"/>
      <c r="I26" s="29"/>
      <c r="J26" s="45"/>
      <c r="L26" s="45"/>
      <c r="M26" s="45"/>
      <c r="N26" s="45"/>
      <c r="O26" s="52"/>
      <c r="P26" s="52"/>
      <c r="Q26" s="29"/>
      <c r="R26" s="29"/>
    </row>
    <row r="27" spans="2:18" x14ac:dyDescent="0.25">
      <c r="B27" s="24" t="s">
        <v>20</v>
      </c>
      <c r="J27" s="45"/>
      <c r="L27" s="45"/>
      <c r="M27" s="45"/>
      <c r="N27" s="45"/>
      <c r="O27" s="52"/>
      <c r="P27" s="52"/>
      <c r="Q27" s="29"/>
      <c r="R27" s="29"/>
    </row>
    <row r="28" spans="2:18" x14ac:dyDescent="0.25">
      <c r="B28" s="24"/>
      <c r="C28" s="12" t="s">
        <v>13</v>
      </c>
      <c r="D28" s="17" t="s">
        <v>15</v>
      </c>
      <c r="E28" s="22" t="s">
        <v>16</v>
      </c>
      <c r="F28" s="16" t="s">
        <v>16</v>
      </c>
      <c r="G28" s="19" t="s">
        <v>16</v>
      </c>
      <c r="H28" s="12" t="s">
        <v>18</v>
      </c>
      <c r="J28" s="45"/>
      <c r="L28" s="45"/>
      <c r="M28" s="45"/>
      <c r="N28" s="45"/>
      <c r="O28" s="52"/>
      <c r="P28" s="52"/>
      <c r="Q28" s="29"/>
      <c r="R28" s="29"/>
    </row>
    <row r="29" spans="2:18" ht="15.75" thickBot="1" x14ac:dyDescent="0.3">
      <c r="C29" s="12" t="s">
        <v>14</v>
      </c>
      <c r="D29" s="17">
        <v>2020</v>
      </c>
      <c r="E29" s="22">
        <v>2018</v>
      </c>
      <c r="F29" s="16">
        <v>2019</v>
      </c>
      <c r="G29" s="20" t="s">
        <v>17</v>
      </c>
      <c r="H29" s="12" t="s">
        <v>16</v>
      </c>
      <c r="J29" s="45"/>
      <c r="K29" s="45" t="s">
        <v>26</v>
      </c>
      <c r="L29" s="45"/>
      <c r="M29" s="45"/>
      <c r="N29" s="45"/>
      <c r="O29" s="52"/>
      <c r="P29" s="52"/>
      <c r="Q29" s="29"/>
      <c r="R29" s="29"/>
    </row>
    <row r="30" spans="2:18" ht="15.75" thickBot="1" x14ac:dyDescent="0.3">
      <c r="B30" s="11" t="s">
        <v>36</v>
      </c>
      <c r="C30" s="27">
        <f t="shared" ref="C30:C35" si="3">C15</f>
        <v>100</v>
      </c>
      <c r="D30" s="13">
        <f>C30*1.0208*1.0231*1.02</f>
        <v>106.52680896</v>
      </c>
      <c r="E30" s="23">
        <f>(C30*0.0208)*14</f>
        <v>29.12</v>
      </c>
      <c r="F30" s="18">
        <f>(C30*((1.0208*1.0231)-1))*14</f>
        <v>62.132671999999765</v>
      </c>
      <c r="G30" s="21">
        <f>(C30*((1.0208*1.0231*1.02)-1))</f>
        <v>6.5268089599999746</v>
      </c>
      <c r="H30" s="14">
        <f>SUM(E30:G30)</f>
        <v>97.779480959999731</v>
      </c>
      <c r="J30" s="45"/>
      <c r="K30" s="46">
        <f>C30*1.0208*14</f>
        <v>1429.12</v>
      </c>
      <c r="L30" s="45"/>
      <c r="M30" s="45"/>
      <c r="N30" s="45"/>
      <c r="O30" s="52"/>
      <c r="P30" s="52"/>
      <c r="Q30" s="29"/>
      <c r="R30" s="29"/>
    </row>
    <row r="31" spans="2:18" ht="15.75" thickBot="1" x14ac:dyDescent="0.3">
      <c r="B31" s="11" t="s">
        <v>37</v>
      </c>
      <c r="C31" s="27">
        <f t="shared" si="3"/>
        <v>100</v>
      </c>
      <c r="D31" s="13">
        <f>C31*1.0208*1.0231*1.02</f>
        <v>106.52680896</v>
      </c>
      <c r="E31" s="23">
        <f>(C31*0.0208)*14</f>
        <v>29.12</v>
      </c>
      <c r="F31" s="18">
        <f>(C31*((1.0208*1.0231)-1))*14</f>
        <v>62.132671999999765</v>
      </c>
      <c r="G31" s="21">
        <f>(C31*((1.0208*1.0231*1.02)-1))</f>
        <v>6.5268089599999746</v>
      </c>
      <c r="H31" s="14">
        <f t="shared" ref="H31:H35" si="4">SUM(E31:G31)</f>
        <v>97.779480959999731</v>
      </c>
      <c r="J31" s="45"/>
      <c r="K31" s="46">
        <f>C31*1.0208*14</f>
        <v>1429.12</v>
      </c>
      <c r="L31" s="45"/>
      <c r="M31" s="45"/>
      <c r="N31" s="45"/>
      <c r="O31" s="52"/>
      <c r="P31" s="52"/>
      <c r="Q31" s="29"/>
      <c r="R31" s="29"/>
    </row>
    <row r="32" spans="2:18" ht="15.75" thickBot="1" x14ac:dyDescent="0.3">
      <c r="B32" s="11" t="s">
        <v>39</v>
      </c>
      <c r="C32" s="27">
        <f t="shared" si="3"/>
        <v>100</v>
      </c>
      <c r="D32" s="13">
        <f>C32*1.0208*1.0231*1.02</f>
        <v>106.52680896</v>
      </c>
      <c r="E32" s="23">
        <f>(C32*0.0208)*12</f>
        <v>24.96</v>
      </c>
      <c r="F32" s="18">
        <f>(C32*((1.0208*1.0231)-1))*12</f>
        <v>53.256575999999797</v>
      </c>
      <c r="G32" s="21">
        <f>(C32*((1.0208*1.0231*1.02)-1))</f>
        <v>6.5268089599999746</v>
      </c>
      <c r="H32" s="14">
        <f t="shared" si="4"/>
        <v>84.743384959999773</v>
      </c>
      <c r="J32" s="45"/>
      <c r="K32" s="46">
        <f>C32*1.0208*12</f>
        <v>1224.96</v>
      </c>
      <c r="L32" s="45"/>
      <c r="M32" s="45"/>
      <c r="N32" s="45"/>
      <c r="O32" s="52"/>
      <c r="P32" s="52"/>
      <c r="Q32" s="29"/>
      <c r="R32" s="29"/>
    </row>
    <row r="33" spans="2:18" ht="15.75" thickBot="1" x14ac:dyDescent="0.3">
      <c r="B33" s="11" t="s">
        <v>21</v>
      </c>
      <c r="C33" s="27">
        <f t="shared" si="3"/>
        <v>100</v>
      </c>
      <c r="E33" s="23">
        <f>(C33*0.0208)</f>
        <v>2.08</v>
      </c>
      <c r="H33" s="14">
        <f t="shared" si="4"/>
        <v>2.08</v>
      </c>
      <c r="J33" s="45"/>
      <c r="K33" s="46">
        <f>C33*1.0208</f>
        <v>102.08</v>
      </c>
      <c r="L33" s="45"/>
      <c r="M33" s="45"/>
      <c r="N33" s="45"/>
      <c r="O33" s="52"/>
      <c r="P33" s="52"/>
      <c r="Q33" s="29"/>
      <c r="R33" s="29"/>
    </row>
    <row r="34" spans="2:18" ht="15.75" thickBot="1" x14ac:dyDescent="0.3">
      <c r="B34" s="11" t="s">
        <v>22</v>
      </c>
      <c r="C34" s="27">
        <f t="shared" si="3"/>
        <v>100</v>
      </c>
      <c r="F34" s="18">
        <f>C34*((1.0208*1.0231)-1)</f>
        <v>4.4380479999999833</v>
      </c>
      <c r="H34" s="14">
        <f t="shared" si="4"/>
        <v>4.4380479999999833</v>
      </c>
      <c r="J34" s="45"/>
      <c r="K34" s="30"/>
      <c r="L34" s="45"/>
      <c r="M34" s="45"/>
      <c r="N34" s="45"/>
      <c r="O34" s="52"/>
      <c r="P34" s="52"/>
      <c r="Q34" s="29"/>
    </row>
    <row r="35" spans="2:18" ht="15.75" thickBot="1" x14ac:dyDescent="0.3">
      <c r="B35" s="11" t="s">
        <v>23</v>
      </c>
      <c r="C35" s="27">
        <f t="shared" si="3"/>
        <v>100</v>
      </c>
      <c r="G35" s="21">
        <f>C35*((1.0208*1.0231*1.02)-1)</f>
        <v>6.5268089599999746</v>
      </c>
      <c r="H35" s="14">
        <f t="shared" si="4"/>
        <v>6.5268089599999746</v>
      </c>
      <c r="J35" s="45"/>
      <c r="K35" s="30"/>
      <c r="L35" s="45"/>
      <c r="M35" s="45"/>
      <c r="N35" s="45"/>
      <c r="O35" s="52"/>
      <c r="P35" s="52"/>
      <c r="Q35" s="29"/>
    </row>
    <row r="36" spans="2:18" ht="15.75" thickBot="1" x14ac:dyDescent="0.3">
      <c r="B36" s="11" t="s">
        <v>11</v>
      </c>
      <c r="C36" s="63">
        <v>2293.11</v>
      </c>
      <c r="D36" s="64">
        <f>(((((C36*1.0208)+270)*1.0231)+270)*1.02)+270</f>
        <v>3269.9386489426561</v>
      </c>
      <c r="E36" s="65">
        <f>((C36*1.0208)+270)-C36</f>
        <v>317.69668799999999</v>
      </c>
      <c r="F36" s="66">
        <f>((((C36*1.0208)+270)*1.0231)+270)-C36</f>
        <v>648.00632249279988</v>
      </c>
      <c r="G36" s="67"/>
      <c r="H36" s="68">
        <f>SUM(E36:G36)</f>
        <v>965.70301049279988</v>
      </c>
      <c r="J36" s="45"/>
      <c r="L36" s="45"/>
      <c r="M36" s="45"/>
      <c r="N36" s="45"/>
      <c r="O36" s="52"/>
      <c r="P36" s="52"/>
      <c r="Q36" s="29"/>
    </row>
    <row r="37" spans="2:18" ht="15.75" thickBot="1" x14ac:dyDescent="0.3">
      <c r="B37" s="76" t="s">
        <v>25</v>
      </c>
      <c r="C37" s="61"/>
      <c r="D37" s="61"/>
      <c r="E37" s="62">
        <f>K37*0.005</f>
        <v>20.926399999999997</v>
      </c>
      <c r="F37" s="61"/>
      <c r="G37" s="61"/>
      <c r="H37" s="38">
        <f>SUM(E37:G37)</f>
        <v>20.926399999999997</v>
      </c>
      <c r="J37" s="45"/>
      <c r="K37" s="50">
        <f>SUM(K30:K35)</f>
        <v>4185.28</v>
      </c>
      <c r="L37" s="45"/>
      <c r="M37" s="45"/>
      <c r="N37" s="45"/>
      <c r="O37" s="52"/>
      <c r="P37" s="52"/>
      <c r="Q37" s="29"/>
    </row>
    <row r="38" spans="2:18" ht="15.75" thickBot="1" x14ac:dyDescent="0.3">
      <c r="B38" s="75" t="s">
        <v>24</v>
      </c>
      <c r="C38" s="15"/>
      <c r="D38" s="15"/>
      <c r="E38" s="69">
        <f t="shared" ref="E38:G38" si="5">SUM(E30:E36)</f>
        <v>402.97668799999997</v>
      </c>
      <c r="F38" s="70">
        <f t="shared" si="5"/>
        <v>829.9662904927992</v>
      </c>
      <c r="G38" s="71">
        <f t="shared" si="5"/>
        <v>26.107235839999898</v>
      </c>
      <c r="H38" s="72">
        <f>SUM(H30:H37)</f>
        <v>1279.976614332799</v>
      </c>
      <c r="J38" s="45"/>
      <c r="L38" s="45"/>
      <c r="M38" s="45"/>
      <c r="N38" s="45"/>
      <c r="O38" s="52"/>
      <c r="P38" s="52"/>
      <c r="Q38" s="29"/>
    </row>
    <row r="39" spans="2:18" x14ac:dyDescent="0.25">
      <c r="J39" s="45"/>
      <c r="L39" s="45"/>
      <c r="M39" s="45"/>
      <c r="N39" s="45"/>
    </row>
    <row r="40" spans="2:18" x14ac:dyDescent="0.25">
      <c r="J40" s="45"/>
      <c r="L40" s="45"/>
      <c r="M40" s="45"/>
      <c r="N40" s="45"/>
    </row>
  </sheetData>
  <sheetProtection algorithmName="SHA-512" hashValue="hRVYdlnm2p9sUQbBsNQUIh4ADMSC9dP2e0htGI1kX/9B/TsoxElFcXeH8KWmWgvGMlbucGhY2i9JFDZj4J6lUg==" saltValue="bK5djOevLEZxVncTE71Sow==" spinCount="100000" sheet="1" objects="1" scenarios="1"/>
  <mergeCells count="10">
    <mergeCell ref="C1:C2"/>
    <mergeCell ref="G1:G2"/>
    <mergeCell ref="D1:D2"/>
    <mergeCell ref="I1:I7"/>
    <mergeCell ref="A8:B8"/>
    <mergeCell ref="A1:B1"/>
    <mergeCell ref="A2:B2"/>
    <mergeCell ref="A4:B4"/>
    <mergeCell ref="A5:B5"/>
    <mergeCell ref="A6:B6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85725</xdr:colOff>
                    <xdr:row>10</xdr:row>
                    <xdr:rowOff>180975</xdr:rowOff>
                  </from>
                  <to>
                    <xdr:col>1</xdr:col>
                    <xdr:colOff>1181100</xdr:colOff>
                    <xdr:row>12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Calculo 2020</vt:lpstr>
    </vt:vector>
  </TitlesOfParts>
  <Company>ENEL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CCOO ENDESA</dc:creator>
  <dcterms:created xsi:type="dcterms:W3CDTF">2020-02-05T09:33:42Z</dcterms:created>
  <dcterms:modified xsi:type="dcterms:W3CDTF">2020-02-14T11:38:22Z</dcterms:modified>
</cp:coreProperties>
</file>